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ndenstrategicpartners.sharepoint.com/sites/Consulting/Shared Documents/-Current Projects/Baton Rouge, LA - Multiple Studies - 2023_2024/Study 2 - Raising Cane's River Center &amp; HQ Hotel - 2023/RFP/VBR RFP/Exhibits/"/>
    </mc:Choice>
  </mc:AlternateContent>
  <xr:revisionPtr revIDLastSave="190" documentId="8_{5A1225E4-8165-7045-8F59-4E97386EE495}" xr6:coauthVersionLast="47" xr6:coauthVersionMax="47" xr10:uidLastSave="{2702214B-6839-1F46-8DD3-958B2346B92F}"/>
  <bookViews>
    <workbookView xWindow="15800" yWindow="-25620" windowWidth="28100" windowHeight="16100" xr2:uid="{B49957D3-5812-FA43-9D98-B933AB56319A}"/>
  </bookViews>
  <sheets>
    <sheet name="2019-25 Financials" sheetId="1" r:id="rId1"/>
  </sheets>
  <calcPr calcId="191029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23" i="1" l="1"/>
  <c r="G22" i="1"/>
  <c r="G21" i="1"/>
  <c r="G20" i="1"/>
  <c r="G19" i="1"/>
  <c r="G18" i="1"/>
  <c r="G17" i="1"/>
  <c r="H11" i="1"/>
  <c r="H9" i="1"/>
  <c r="H5" i="1"/>
  <c r="G4" i="1"/>
  <c r="H4" i="1"/>
  <c r="G11" i="1"/>
  <c r="G6" i="1"/>
  <c r="H7" i="1"/>
  <c r="H18" i="1" l="1"/>
  <c r="H17" i="1"/>
  <c r="H23" i="1" l="1"/>
  <c r="H21" i="1"/>
  <c r="H20" i="1"/>
  <c r="H16" i="1"/>
  <c r="H24" i="1" l="1"/>
  <c r="H12" i="1"/>
  <c r="G24" i="1"/>
  <c r="G12" i="1"/>
  <c r="G26" i="1" l="1"/>
  <c r="H26" i="1"/>
  <c r="F4" i="1" l="1"/>
  <c r="E4" i="1"/>
  <c r="D4" i="1"/>
  <c r="C4" i="1"/>
  <c r="B4" i="1"/>
  <c r="E11" i="1"/>
  <c r="C11" i="1"/>
  <c r="F24" i="1"/>
  <c r="F7" i="1"/>
  <c r="F5" i="1"/>
  <c r="E24" i="1"/>
  <c r="E5" i="1"/>
  <c r="D24" i="1"/>
  <c r="D7" i="1"/>
  <c r="D5" i="1"/>
  <c r="C7" i="1"/>
  <c r="C24" i="1"/>
  <c r="C5" i="1"/>
  <c r="B5" i="1"/>
  <c r="B24" i="1"/>
  <c r="B7" i="1"/>
  <c r="B12" i="1" l="1"/>
  <c r="B26" i="1" s="1"/>
  <c r="E12" i="1"/>
  <c r="E26" i="1" s="1"/>
  <c r="F12" i="1"/>
  <c r="F26" i="1" s="1"/>
  <c r="D12" i="1"/>
  <c r="D26" i="1" s="1"/>
  <c r="C12" i="1"/>
  <c r="C26" i="1" s="1"/>
</calcChain>
</file>

<file path=xl/sharedStrings.xml><?xml version="1.0" encoding="utf-8"?>
<sst xmlns="http://schemas.openxmlformats.org/spreadsheetml/2006/main" count="23" uniqueCount="21">
  <si>
    <t>Revenues</t>
  </si>
  <si>
    <t>Rental Income</t>
  </si>
  <si>
    <t>Merchandise</t>
  </si>
  <si>
    <t>Utilities</t>
  </si>
  <si>
    <t>Ticket Rebates</t>
  </si>
  <si>
    <t>Facility Fees</t>
  </si>
  <si>
    <t>Total</t>
  </si>
  <si>
    <t>Expenses</t>
  </si>
  <si>
    <t>Salaries &amp; Benefits</t>
  </si>
  <si>
    <t>Contracted Services</t>
  </si>
  <si>
    <t>General &amp; Administrative</t>
  </si>
  <si>
    <t>Operating Expenses</t>
  </si>
  <si>
    <t>Repairs &amp; Maintenance</t>
  </si>
  <si>
    <t>Supplies</t>
  </si>
  <si>
    <t>Insurance</t>
  </si>
  <si>
    <t>Other</t>
  </si>
  <si>
    <t>Net Income</t>
  </si>
  <si>
    <t>Other Income</t>
  </si>
  <si>
    <t>Service Revenue (Net)</t>
  </si>
  <si>
    <t>Food &amp; Beverage (Net)</t>
  </si>
  <si>
    <t>Sponsorship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</si>
</sst>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7">
    <font>
      <sz val="12"/>
      <color theme="1"/>
      <name val="ArialMT"/>
      <family val="2"/>
    </font>
    <font>
      <b/>
      <sz val="12"/>
      <color theme="1"/>
      <name val="ArialMT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i/>
      <sz val="9"/>
      <color theme="1"/>
      <name val="Arial Narrow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2" fontId="3" fillId="0" borderId="0" xfId="0" applyNumberFormat="1" applyFont="1"/>
    <xf numFmtId="0" fontId="4" fillId="0" borderId="0" xfId="0" applyFont="1"/>
    <xf numFmtId="42" fontId="0" fillId="0" borderId="0" xfId="0" applyNumberFormat="1"/>
    <xf numFmtId="42" fontId="2" fillId="0" borderId="0" xfId="0" applyNumberFormat="1" applyFont="1"/>
    <xf numFmtId="44" fontId="3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42" fontId="6" fillId="0" borderId="0" xfId="0" applyNumberFormat="1" applyFont="1"/>
    <xf numFmtId="42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3CBA0-13B9-674E-8143-497D5C79DACC}">
  <dimension ref="A1:K29"/>
  <sheetViews>
    <sheetView tabSelected="1" workbookViewId="0">
      <selection activeCell="H12" sqref="H12"/>
    </sheetView>
  </sheetViews>
  <sheetFormatPr baseColWidth="10" defaultRowHeight="16"/>
  <cols>
    <col min="1" max="1" width="15.28515625" style="11" bestFit="1" customWidth="1"/>
    <col min="2" max="8" width="10.7109375" style="11" customWidth="1"/>
    <col min="9" max="10" width="10.7109375" style="3"/>
    <col min="11" max="11" width="11" bestFit="1" customWidth="1"/>
  </cols>
  <sheetData>
    <row r="1" spans="1:11" s="1" customFormat="1" ht="13" customHeight="1">
      <c r="A1" s="9"/>
      <c r="B1" s="10">
        <v>2019</v>
      </c>
      <c r="C1" s="10">
        <v>2020</v>
      </c>
      <c r="D1" s="10">
        <v>2021</v>
      </c>
      <c r="E1" s="10">
        <v>2022</v>
      </c>
      <c r="F1" s="10">
        <v>2023</v>
      </c>
      <c r="G1" s="10">
        <v>2024</v>
      </c>
      <c r="H1" s="10">
        <v>2025</v>
      </c>
      <c r="I1" s="2"/>
      <c r="J1" s="2"/>
    </row>
    <row r="2" spans="1:11" ht="13" customHeight="1">
      <c r="A2" s="9" t="s">
        <v>0</v>
      </c>
    </row>
    <row r="3" spans="1:11" ht="13" customHeight="1">
      <c r="A3" s="11" t="s">
        <v>1</v>
      </c>
      <c r="B3" s="12">
        <v>1442087</v>
      </c>
      <c r="C3" s="12">
        <v>657293</v>
      </c>
      <c r="D3" s="12">
        <v>1089200</v>
      </c>
      <c r="E3" s="12">
        <v>2011209</v>
      </c>
      <c r="F3" s="12">
        <v>2310188</v>
      </c>
      <c r="G3" s="12">
        <v>2765400.77</v>
      </c>
      <c r="H3" s="12">
        <v>2467454.7799999998</v>
      </c>
    </row>
    <row r="4" spans="1:11" ht="13" customHeight="1">
      <c r="A4" s="11" t="s">
        <v>18</v>
      </c>
      <c r="B4" s="12">
        <f>1728313-2001454</f>
        <v>-273141</v>
      </c>
      <c r="C4" s="12">
        <f>516440-638103</f>
        <v>-121663</v>
      </c>
      <c r="D4" s="12">
        <f>1254786-1296592</f>
        <v>-41806</v>
      </c>
      <c r="E4" s="12">
        <f>2897088-3409982</f>
        <v>-512894</v>
      </c>
      <c r="F4" s="12">
        <f>2805284-3633475</f>
        <v>-828191</v>
      </c>
      <c r="G4" s="12">
        <f>2621999.36-3854018.37-1461263.7-120489.53</f>
        <v>-2813772.2399999998</v>
      </c>
      <c r="H4" s="12">
        <f>3153771.66-3594453.11-2676206.24-101032.84</f>
        <v>-3217920.53</v>
      </c>
      <c r="J4" s="4"/>
    </row>
    <row r="5" spans="1:11" ht="13" customHeight="1">
      <c r="A5" s="11" t="s">
        <v>19</v>
      </c>
      <c r="B5" s="12">
        <f>460343+420659</f>
        <v>881002</v>
      </c>
      <c r="C5" s="12">
        <f>123355+201327</f>
        <v>324682</v>
      </c>
      <c r="D5" s="12">
        <f>200381+157804</f>
        <v>358185</v>
      </c>
      <c r="E5" s="12">
        <f>772170+356853</f>
        <v>1129023</v>
      </c>
      <c r="F5" s="12">
        <f>1132465+253236</f>
        <v>1385701</v>
      </c>
      <c r="G5" s="12">
        <v>2903839.84</v>
      </c>
      <c r="H5" s="12">
        <f>4213098.58</f>
        <v>4213098.58</v>
      </c>
      <c r="I5" s="5"/>
    </row>
    <row r="6" spans="1:11" ht="13" customHeight="1">
      <c r="A6" s="11" t="s">
        <v>2</v>
      </c>
      <c r="B6" s="12">
        <v>59619</v>
      </c>
      <c r="C6" s="12">
        <v>4497</v>
      </c>
      <c r="D6" s="12">
        <v>25432</v>
      </c>
      <c r="E6" s="12">
        <v>48230</v>
      </c>
      <c r="F6" s="12">
        <v>21700</v>
      </c>
      <c r="G6" s="12">
        <f>282029.93</f>
        <v>282029.93</v>
      </c>
      <c r="H6" s="12">
        <v>45250.55</v>
      </c>
      <c r="I6" s="4"/>
      <c r="K6" s="6"/>
    </row>
    <row r="7" spans="1:11" ht="13" customHeight="1">
      <c r="A7" s="11" t="s">
        <v>3</v>
      </c>
      <c r="B7" s="12">
        <f>12189+200</f>
        <v>12389</v>
      </c>
      <c r="C7" s="12">
        <f>2927+2500</f>
        <v>5427</v>
      </c>
      <c r="D7" s="12">
        <f>18917</f>
        <v>18917</v>
      </c>
      <c r="E7" s="12">
        <v>5816</v>
      </c>
      <c r="F7" s="12">
        <f>67156+7250</f>
        <v>74406</v>
      </c>
      <c r="G7" s="12">
        <v>-6066</v>
      </c>
      <c r="H7" s="12">
        <f>2022+3499.99</f>
        <v>5521.99</v>
      </c>
    </row>
    <row r="8" spans="1:11" ht="13" customHeight="1">
      <c r="A8" s="11" t="s">
        <v>4</v>
      </c>
      <c r="B8" s="12">
        <v>139532</v>
      </c>
      <c r="C8" s="12">
        <v>83012</v>
      </c>
      <c r="D8" s="12">
        <v>204387</v>
      </c>
      <c r="E8" s="12">
        <v>676427</v>
      </c>
      <c r="F8" s="12">
        <v>823160</v>
      </c>
      <c r="G8" s="12">
        <v>864464.73</v>
      </c>
      <c r="H8" s="12">
        <v>579687.18000000005</v>
      </c>
      <c r="I8" s="5"/>
    </row>
    <row r="9" spans="1:11" ht="13" customHeight="1">
      <c r="A9" s="11" t="s">
        <v>5</v>
      </c>
      <c r="B9" s="12">
        <v>280710</v>
      </c>
      <c r="C9" s="12">
        <v>42807</v>
      </c>
      <c r="D9" s="12">
        <v>92568</v>
      </c>
      <c r="E9" s="12">
        <v>394641</v>
      </c>
      <c r="F9" s="12">
        <v>581929</v>
      </c>
      <c r="G9" s="12">
        <v>810432.81</v>
      </c>
      <c r="H9" s="12">
        <f>594272.54</f>
        <v>594272.54</v>
      </c>
      <c r="I9" s="5"/>
    </row>
    <row r="10" spans="1:11" ht="13" customHeight="1">
      <c r="A10" s="11" t="s">
        <v>20</v>
      </c>
      <c r="B10" s="12">
        <v>519960</v>
      </c>
      <c r="C10" s="12">
        <v>521163</v>
      </c>
      <c r="D10" s="12">
        <v>489484</v>
      </c>
      <c r="E10" s="12">
        <v>601790</v>
      </c>
      <c r="F10" s="12">
        <v>967024</v>
      </c>
      <c r="G10" s="12">
        <f>1171209.3</f>
        <v>1171209.3</v>
      </c>
      <c r="H10" s="12">
        <v>1110320.25</v>
      </c>
      <c r="I10" s="5"/>
    </row>
    <row r="11" spans="1:11" ht="13" customHeight="1">
      <c r="A11" s="11" t="s">
        <v>17</v>
      </c>
      <c r="B11" s="12">
        <v>24940</v>
      </c>
      <c r="C11" s="12">
        <f>23733-3</f>
        <v>23730</v>
      </c>
      <c r="D11" s="12">
        <v>23634</v>
      </c>
      <c r="E11" s="12">
        <f>36670+2128</f>
        <v>38798</v>
      </c>
      <c r="F11" s="12">
        <v>26500</v>
      </c>
      <c r="G11" s="12">
        <f>12166.08+127906.05-90693.07</f>
        <v>49379.06</v>
      </c>
      <c r="H11" s="12">
        <f>39583.14+122886.86+170811.5</f>
        <v>333281.5</v>
      </c>
    </row>
    <row r="12" spans="1:11" s="1" customFormat="1" ht="13" customHeight="1">
      <c r="A12" s="9" t="s">
        <v>6</v>
      </c>
      <c r="B12" s="13">
        <f t="shared" ref="B12:H12" si="0">SUM(B3:B11)</f>
        <v>3087098</v>
      </c>
      <c r="C12" s="13">
        <f t="shared" si="0"/>
        <v>1540948</v>
      </c>
      <c r="D12" s="13">
        <f t="shared" si="0"/>
        <v>2260001</v>
      </c>
      <c r="E12" s="13">
        <f t="shared" si="0"/>
        <v>4393040</v>
      </c>
      <c r="F12" s="13">
        <f t="shared" si="0"/>
        <v>5362417</v>
      </c>
      <c r="G12" s="13">
        <f t="shared" si="0"/>
        <v>6026918.1999999993</v>
      </c>
      <c r="H12" s="13">
        <f t="shared" si="0"/>
        <v>6130966.8399999999</v>
      </c>
      <c r="I12" s="7"/>
      <c r="J12" s="2"/>
    </row>
    <row r="13" spans="1:11" ht="13" customHeight="1">
      <c r="B13" s="12"/>
      <c r="C13" s="12"/>
      <c r="D13" s="12"/>
      <c r="E13" s="12"/>
      <c r="F13" s="12"/>
      <c r="G13" s="12"/>
      <c r="H13" s="12"/>
    </row>
    <row r="14" spans="1:11" ht="13" customHeight="1">
      <c r="A14" s="9" t="s">
        <v>7</v>
      </c>
      <c r="B14" s="12"/>
      <c r="C14" s="12"/>
      <c r="D14" s="12"/>
      <c r="E14" s="12"/>
      <c r="F14" s="12"/>
      <c r="G14" s="12"/>
      <c r="H14" s="12"/>
    </row>
    <row r="15" spans="1:11" ht="13" customHeight="1">
      <c r="A15" s="11" t="s">
        <v>8</v>
      </c>
      <c r="B15" s="12">
        <v>2081641</v>
      </c>
      <c r="C15" s="12">
        <v>1170986</v>
      </c>
      <c r="D15" s="12">
        <v>1202928</v>
      </c>
      <c r="E15" s="12">
        <v>1707712</v>
      </c>
      <c r="F15" s="12">
        <v>2191657</v>
      </c>
      <c r="G15" s="12">
        <v>2711493.48</v>
      </c>
      <c r="H15" s="12">
        <v>2611839.9700000002</v>
      </c>
      <c r="J15" s="8"/>
    </row>
    <row r="16" spans="1:11" ht="13" customHeight="1">
      <c r="A16" s="11" t="s">
        <v>9</v>
      </c>
      <c r="B16" s="12">
        <v>12744</v>
      </c>
      <c r="C16" s="12">
        <v>1569</v>
      </c>
      <c r="D16" s="12">
        <v>0</v>
      </c>
      <c r="E16" s="12">
        <v>21843</v>
      </c>
      <c r="F16" s="12">
        <v>37714</v>
      </c>
      <c r="G16" s="12">
        <v>291817.45</v>
      </c>
      <c r="H16" s="12">
        <f>132429.52</f>
        <v>132429.51999999999</v>
      </c>
    </row>
    <row r="17" spans="1:9" ht="13" customHeight="1">
      <c r="A17" s="11" t="s">
        <v>10</v>
      </c>
      <c r="B17" s="12">
        <v>398264</v>
      </c>
      <c r="C17" s="12">
        <v>137151</v>
      </c>
      <c r="D17" s="12">
        <v>168179</v>
      </c>
      <c r="E17" s="12">
        <v>549400</v>
      </c>
      <c r="F17" s="12">
        <v>547225</v>
      </c>
      <c r="G17" s="12">
        <f>242799.07+104204.46+269554.7</f>
        <v>616558.23</v>
      </c>
      <c r="H17" s="12">
        <f>72226.12+261721.84+231548.56</f>
        <v>565496.52</v>
      </c>
    </row>
    <row r="18" spans="1:9" ht="13" customHeight="1">
      <c r="A18" s="11" t="s">
        <v>11</v>
      </c>
      <c r="B18" s="12">
        <v>74903</v>
      </c>
      <c r="C18" s="12">
        <v>32569</v>
      </c>
      <c r="D18" s="12">
        <v>87960</v>
      </c>
      <c r="E18" s="12">
        <v>206804</v>
      </c>
      <c r="F18" s="12">
        <v>298015</v>
      </c>
      <c r="G18" s="12">
        <f>397520.38+225031.51+106289.08</f>
        <v>728840.97</v>
      </c>
      <c r="H18" s="12">
        <f>396481.85+239730.22+362921.1</f>
        <v>999133.16999999993</v>
      </c>
    </row>
    <row r="19" spans="1:9" ht="13" customHeight="1">
      <c r="A19" s="11" t="s">
        <v>12</v>
      </c>
      <c r="B19" s="12">
        <v>146844</v>
      </c>
      <c r="C19" s="12">
        <v>143968</v>
      </c>
      <c r="D19" s="12">
        <v>138946</v>
      </c>
      <c r="E19" s="12">
        <v>413302</v>
      </c>
      <c r="F19" s="12">
        <v>239117</v>
      </c>
      <c r="G19" s="12">
        <f>52973.97</f>
        <v>52973.97</v>
      </c>
      <c r="H19" s="12">
        <v>89139.46</v>
      </c>
    </row>
    <row r="20" spans="1:9" ht="13" customHeight="1">
      <c r="A20" s="11" t="s">
        <v>13</v>
      </c>
      <c r="B20" s="12">
        <v>65321</v>
      </c>
      <c r="C20" s="12">
        <v>23192</v>
      </c>
      <c r="D20" s="12">
        <v>50985</v>
      </c>
      <c r="E20" s="12">
        <v>157589</v>
      </c>
      <c r="F20" s="12">
        <v>291703</v>
      </c>
      <c r="G20" s="12">
        <f>367604.38</f>
        <v>367604.38</v>
      </c>
      <c r="H20" s="12">
        <f>419573.53</f>
        <v>419573.53</v>
      </c>
    </row>
    <row r="21" spans="1:9" ht="13" customHeight="1">
      <c r="A21" s="11" t="s">
        <v>14</v>
      </c>
      <c r="B21" s="12">
        <v>177275</v>
      </c>
      <c r="C21" s="12">
        <v>120116</v>
      </c>
      <c r="D21" s="12">
        <v>114725</v>
      </c>
      <c r="E21" s="12">
        <v>218208</v>
      </c>
      <c r="F21" s="12">
        <v>244720</v>
      </c>
      <c r="G21" s="12">
        <f>351364.02</f>
        <v>351364.02</v>
      </c>
      <c r="H21" s="12">
        <f>323517</f>
        <v>323517</v>
      </c>
    </row>
    <row r="22" spans="1:9" ht="13" customHeight="1">
      <c r="A22" s="11" t="s">
        <v>3</v>
      </c>
      <c r="B22" s="12">
        <v>906877</v>
      </c>
      <c r="C22" s="12">
        <v>761044</v>
      </c>
      <c r="D22" s="12">
        <v>911668</v>
      </c>
      <c r="E22" s="12">
        <v>1235123</v>
      </c>
      <c r="F22" s="12">
        <v>1089142</v>
      </c>
      <c r="G22" s="12">
        <f>927528.64</f>
        <v>927528.64</v>
      </c>
      <c r="H22" s="12">
        <v>1058358.44</v>
      </c>
    </row>
    <row r="23" spans="1:9" ht="13" customHeight="1">
      <c r="A23" s="11" t="s">
        <v>15</v>
      </c>
      <c r="B23" s="12">
        <v>0</v>
      </c>
      <c r="C23" s="12">
        <v>105507</v>
      </c>
      <c r="D23" s="12">
        <v>0</v>
      </c>
      <c r="E23" s="12">
        <v>4603</v>
      </c>
      <c r="F23" s="12">
        <v>4759</v>
      </c>
      <c r="G23" s="12">
        <f>2983.97-750+68591.99+10719.39+34357.17</f>
        <v>115902.52</v>
      </c>
      <c r="H23" s="12">
        <f>805.75+10194.29+25288.65+22587.39+2</f>
        <v>58878.080000000002</v>
      </c>
    </row>
    <row r="24" spans="1:9" ht="13" customHeight="1">
      <c r="A24" s="9" t="s">
        <v>6</v>
      </c>
      <c r="B24" s="13">
        <f t="shared" ref="B24:H24" si="1">SUM(B15:B23)</f>
        <v>3863869</v>
      </c>
      <c r="C24" s="13">
        <f t="shared" si="1"/>
        <v>2496102</v>
      </c>
      <c r="D24" s="13">
        <f t="shared" si="1"/>
        <v>2675391</v>
      </c>
      <c r="E24" s="13">
        <f t="shared" si="1"/>
        <v>4514584</v>
      </c>
      <c r="F24" s="13">
        <f t="shared" si="1"/>
        <v>4944052</v>
      </c>
      <c r="G24" s="13">
        <f t="shared" si="1"/>
        <v>6164083.6599999992</v>
      </c>
      <c r="H24" s="13">
        <f t="shared" si="1"/>
        <v>6258365.6899999995</v>
      </c>
      <c r="I24" s="5"/>
    </row>
    <row r="25" spans="1:9" ht="13" customHeight="1">
      <c r="B25" s="12"/>
      <c r="C25" s="12"/>
      <c r="D25" s="12"/>
      <c r="E25" s="12"/>
      <c r="F25" s="12"/>
      <c r="G25" s="12"/>
      <c r="H25" s="12"/>
    </row>
    <row r="26" spans="1:9" ht="13" customHeight="1">
      <c r="A26" s="9" t="s">
        <v>16</v>
      </c>
      <c r="B26" s="13">
        <f t="shared" ref="B26:H26" si="2">B12-B24</f>
        <v>-776771</v>
      </c>
      <c r="C26" s="13">
        <f t="shared" si="2"/>
        <v>-955154</v>
      </c>
      <c r="D26" s="13">
        <f t="shared" si="2"/>
        <v>-415390</v>
      </c>
      <c r="E26" s="13">
        <f t="shared" si="2"/>
        <v>-121544</v>
      </c>
      <c r="F26" s="13">
        <f t="shared" si="2"/>
        <v>418365</v>
      </c>
      <c r="G26" s="13">
        <f t="shared" si="2"/>
        <v>-137165.45999999996</v>
      </c>
      <c r="H26" s="13">
        <f t="shared" si="2"/>
        <v>-127398.84999999963</v>
      </c>
      <c r="I26" s="5"/>
    </row>
    <row r="28" spans="1:9">
      <c r="G28" s="12"/>
      <c r="H28" s="12"/>
    </row>
    <row r="29" spans="1:9">
      <c r="G29" s="12"/>
      <c r="I29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14F6C9C5FE304ABE3FE9351C141D77" ma:contentTypeVersion="13" ma:contentTypeDescription="Create a new document." ma:contentTypeScope="" ma:versionID="41c070ef36f85e066be9712d831d59fe">
  <xsd:schema xmlns:xsd="http://www.w3.org/2001/XMLSchema" xmlns:xs="http://www.w3.org/2001/XMLSchema" xmlns:p="http://schemas.microsoft.com/office/2006/metadata/properties" xmlns:ns2="87905837-8684-42b1-a1eb-da5215944c6a" xmlns:ns3="c1e6ea95-4089-44d3-891a-752c276409bc" targetNamespace="http://schemas.microsoft.com/office/2006/metadata/properties" ma:root="true" ma:fieldsID="a0841798ce2b954adc8060f98262faf9" ns2:_="" ns3:_="">
    <xsd:import namespace="87905837-8684-42b1-a1eb-da5215944c6a"/>
    <xsd:import namespace="c1e6ea95-4089-44d3-891a-752c276409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05837-8684-42b1-a1eb-da5215944c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5598036-875e-41b0-98c3-7474c7bdab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6ea95-4089-44d3-891a-752c276409b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f60f1ec-34e6-4b11-8877-e8721e34e4e2}" ma:internalName="TaxCatchAll" ma:showField="CatchAllData" ma:web="c1e6ea95-4089-44d3-891a-752c276409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e6ea95-4089-44d3-891a-752c276409bc" xsi:nil="true"/>
    <lcf76f155ced4ddcb4097134ff3c332f xmlns="87905837-8684-42b1-a1eb-da5215944c6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F942A7-BB3D-4254-B32B-02E032C76F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905837-8684-42b1-a1eb-da5215944c6a"/>
    <ds:schemaRef ds:uri="c1e6ea95-4089-44d3-891a-752c276409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9828FE-7988-4DB5-8F57-0FC98BF56B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7E0A61-EEC9-4671-B564-0340427EE5A7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1e6ea95-4089-44d3-891a-752c276409bc"/>
    <ds:schemaRef ds:uri="87905837-8684-42b1-a1eb-da5215944c6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2019-25 Financials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Gustafson</dc:creator>
  <cp:lastModifiedBy>Shawn Gustafson</cp:lastModifiedBy>
  <dcterms:created xsi:type="dcterms:W3CDTF">2024-05-14T13:56:29Z</dcterms:created>
  <dcterms:modified xsi:type="dcterms:W3CDTF">2026-08-27T15:08:02Z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0x0101000E14F6C9C5FE304ABE3FE9351C141D77</vt:lpwstr>
  </property>
  <property fmtid="{D5CDD505-2E9C-101B-9397-08002B2CF9AE}" pid="3" name="MediaServiceImageTags">
    <vt:lpwstr/>
  </property>
</Properties>
</file>